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reqtori\My Document\2011-2017 MoH\2017 PHC calculations QI\"/>
    </mc:Choice>
  </mc:AlternateContent>
  <bookViews>
    <workbookView xWindow="480" yWindow="135" windowWidth="11355" windowHeight="8325" tabRatio="310"/>
  </bookViews>
  <sheets>
    <sheet name="12.07.13_100%" sheetId="11" r:id="rId1"/>
  </sheets>
  <calcPr calcId="152511"/>
</workbook>
</file>

<file path=xl/calcChain.xml><?xml version="1.0" encoding="utf-8"?>
<calcChain xmlns="http://schemas.openxmlformats.org/spreadsheetml/2006/main">
  <c r="E44" i="11" l="1"/>
  <c r="E43" i="11"/>
  <c r="K11" i="11"/>
  <c r="C11" i="11"/>
  <c r="B45" i="11"/>
  <c r="E45" i="11" s="1"/>
  <c r="B43" i="11"/>
  <c r="C43" i="11" s="1"/>
  <c r="D11" i="11"/>
  <c r="F31" i="11"/>
  <c r="H30" i="11"/>
  <c r="C30" i="11" s="1"/>
  <c r="D30" i="11" s="1"/>
  <c r="H29" i="11"/>
  <c r="C29" i="11" s="1"/>
  <c r="D29" i="11" s="1"/>
  <c r="H28" i="11"/>
  <c r="C28" i="11" s="1"/>
  <c r="D28" i="11" s="1"/>
  <c r="H27" i="11"/>
  <c r="C27" i="11" s="1"/>
  <c r="D27" i="11" s="1"/>
  <c r="H26" i="11"/>
  <c r="C26" i="11" s="1"/>
  <c r="H22" i="11"/>
  <c r="C22" i="11" s="1"/>
  <c r="D22" i="11" s="1"/>
  <c r="H21" i="11"/>
  <c r="C21" i="11" s="1"/>
  <c r="D21" i="11" s="1"/>
  <c r="H20" i="11"/>
  <c r="C20" i="11"/>
  <c r="D20" i="11" s="1"/>
  <c r="H19" i="11"/>
  <c r="C19" i="11" s="1"/>
  <c r="H17" i="11"/>
  <c r="C17" i="11" s="1"/>
  <c r="D17" i="11" s="1"/>
  <c r="H16" i="11"/>
  <c r="C16" i="11" s="1"/>
  <c r="D16" i="11" s="1"/>
  <c r="H15" i="11"/>
  <c r="C15" i="11" s="1"/>
  <c r="D15" i="11" s="1"/>
  <c r="H14" i="11"/>
  <c r="C14" i="11" s="1"/>
  <c r="D14" i="11" s="1"/>
  <c r="H25" i="11"/>
  <c r="C25" i="11" s="1"/>
  <c r="D25" i="11" s="1"/>
  <c r="H24" i="11"/>
  <c r="H31" i="11" s="1"/>
  <c r="H12" i="11"/>
  <c r="C12" i="11" s="1"/>
  <c r="C24" i="11" l="1"/>
  <c r="D24" i="11" s="1"/>
  <c r="C45" i="11"/>
  <c r="C31" i="11"/>
  <c r="J13" i="11"/>
  <c r="D12" i="11"/>
  <c r="D13" i="11" s="1"/>
  <c r="D18" i="11"/>
  <c r="C23" i="11"/>
  <c r="C13" i="11"/>
  <c r="C18" i="11"/>
  <c r="D26" i="11"/>
  <c r="D31" i="11" s="1"/>
  <c r="D19" i="11"/>
  <c r="D23" i="11" s="1"/>
  <c r="J18" i="11" l="1"/>
  <c r="J23" i="11" s="1"/>
  <c r="J31" i="11" s="1"/>
  <c r="K18" i="11" l="1"/>
  <c r="K23" i="11" s="1"/>
  <c r="K31" i="11" s="1"/>
  <c r="K13" i="11"/>
  <c r="B44" i="11"/>
  <c r="C44" i="11" l="1"/>
  <c r="B46" i="11"/>
  <c r="E46" i="11" l="1"/>
  <c r="F46" i="11" s="1"/>
  <c r="C46" i="11"/>
  <c r="D46" i="11" s="1"/>
</calcChain>
</file>

<file path=xl/sharedStrings.xml><?xml version="1.0" encoding="utf-8"?>
<sst xmlns="http://schemas.openxmlformats.org/spreadsheetml/2006/main" count="84" uniqueCount="62">
  <si>
    <t>წლიური ხარჯი</t>
  </si>
  <si>
    <t xml:space="preserve">განავალი ფარულ სისხლდენაზე </t>
  </si>
  <si>
    <t xml:space="preserve">ლიპიდური პროფილი </t>
  </si>
  <si>
    <t>ელექტროკარდიოგრაფია (100%)</t>
  </si>
  <si>
    <t xml:space="preserve">კრეატინინი </t>
  </si>
  <si>
    <t>აუცილებელი</t>
  </si>
  <si>
    <t>ოჯახის/უბნის ექიმის მომსახურება (100%)</t>
  </si>
  <si>
    <t>ზოგადი პრაქტიკის ექთნის მომსახურება (100%)</t>
  </si>
  <si>
    <t>გლუკოზა პერიფერიულ  სისხლში (100%)</t>
  </si>
  <si>
    <t>ოტოსკოპია, რინოსკოპია, ფარინგოსკოპი</t>
  </si>
  <si>
    <t>პიკფლოუმეტრია</t>
  </si>
  <si>
    <t>ქოლესტეროლი (100%)</t>
  </si>
  <si>
    <t>რეკომენდებული</t>
  </si>
  <si>
    <t>ენდოკრინოლოგი</t>
  </si>
  <si>
    <t>ოფთალმოლოგი და ოფთალმოსკოპია (გუგის გაგანიერების გარეშე)</t>
  </si>
  <si>
    <t>სასურველი</t>
  </si>
  <si>
    <t>არააუცილებელი</t>
  </si>
  <si>
    <r>
      <t>§</t>
    </r>
    <r>
      <rPr>
        <sz val="7"/>
        <rFont val="Times New Roman"/>
        <family val="1"/>
      </rPr>
      <t xml:space="preserve">  </t>
    </r>
    <r>
      <rPr>
        <sz val="10"/>
        <rFont val="Sylfaen"/>
        <family val="1"/>
      </rPr>
      <t>კარდიოლოგი</t>
    </r>
  </si>
  <si>
    <r>
      <t>§</t>
    </r>
    <r>
      <rPr>
        <sz val="7"/>
        <rFont val="Times New Roman"/>
        <family val="1"/>
      </rPr>
      <t xml:space="preserve">  </t>
    </r>
    <r>
      <rPr>
        <sz val="10"/>
        <rFont val="Sylfaen"/>
        <family val="1"/>
      </rPr>
      <t>ნევროლოგი</t>
    </r>
  </si>
  <si>
    <r>
      <t>§</t>
    </r>
    <r>
      <rPr>
        <sz val="7"/>
        <rFont val="Times New Roman"/>
        <family val="1"/>
      </rPr>
      <t xml:space="preserve">  </t>
    </r>
    <r>
      <rPr>
        <sz val="10"/>
        <rFont val="Sylfaen"/>
        <family val="1"/>
      </rPr>
      <t>ოტორინოლარინგოლოგი</t>
    </r>
  </si>
  <si>
    <r>
      <t>§</t>
    </r>
    <r>
      <rPr>
        <sz val="7"/>
        <rFont val="Times New Roman"/>
        <family val="1"/>
      </rPr>
      <t xml:space="preserve">  </t>
    </r>
    <r>
      <rPr>
        <sz val="10"/>
        <rFont val="Sylfaen"/>
        <family val="1"/>
      </rPr>
      <t>უროლოგი</t>
    </r>
  </si>
  <si>
    <t>კატეგორია</t>
  </si>
  <si>
    <t>მომსახურების სახე</t>
  </si>
  <si>
    <t>ღირებულება</t>
  </si>
  <si>
    <t>[მიმდინარე პროგრამის ფარგლებში]</t>
  </si>
  <si>
    <t>პროგნოზი</t>
  </si>
  <si>
    <t>ერთეულის საშუალო ღირებულება</t>
  </si>
  <si>
    <t>სამიზნე პოპულაცია 1 გუნდზე</t>
  </si>
  <si>
    <t>მოსარგებლეზე</t>
  </si>
  <si>
    <t>მოსარგებლე</t>
  </si>
  <si>
    <t xml:space="preserve">თვეები: </t>
  </si>
  <si>
    <t>სულ აუცილებელი</t>
  </si>
  <si>
    <t>ერთ სულზე ღირებულება თვეში (თანაგადახდის გარეშე)</t>
  </si>
  <si>
    <t>სულ რეკომენდებული</t>
  </si>
  <si>
    <t>ფარისებრი ჯირკვლის ფუნქციური სინჯები: TSH</t>
  </si>
  <si>
    <t>სასურველი (ან რეკომენდებული)</t>
  </si>
  <si>
    <t>სასურველი სულ</t>
  </si>
  <si>
    <t>არააუცილებელი სულ</t>
  </si>
  <si>
    <t xml:space="preserve">ერთ სულზე ღირებულება თანაგადახდით </t>
  </si>
  <si>
    <t>თანაგადახდის პროცენტი</t>
  </si>
  <si>
    <t xml:space="preserve">INR </t>
  </si>
  <si>
    <t>პაკეტების ღირებულება თანაგადახდის გარეშე</t>
  </si>
  <si>
    <t>პაკეტების ღირებულება თანაგადახდით</t>
  </si>
  <si>
    <t>ღვიძლის ფუნქციური სინჯები: ALT, AST</t>
  </si>
  <si>
    <t xml:space="preserve">რენტგენოსკოპია/რენტგენოგრაფია </t>
  </si>
  <si>
    <r>
      <t>§</t>
    </r>
    <r>
      <rPr>
        <sz val="7"/>
        <rFont val="Times New Roman"/>
        <family val="1"/>
      </rPr>
      <t xml:space="preserve">  </t>
    </r>
    <r>
      <rPr>
        <sz val="10"/>
        <rFont val="Sylfaen"/>
        <family val="1"/>
      </rPr>
      <t>გინეკოლოგი</t>
    </r>
  </si>
  <si>
    <t>შენიშვნა:</t>
  </si>
  <si>
    <t>აუცილებლობის შემთხვევაში დაემატება ქირურგი</t>
  </si>
  <si>
    <t>მუცლის ღრუს/მცირე მენჯის  ექოსკოპია  (ტრანსაბდომინური – სისტემების მიხედვით)</t>
  </si>
  <si>
    <t>15-65</t>
  </si>
  <si>
    <t>65+</t>
  </si>
  <si>
    <t>0-6</t>
  </si>
  <si>
    <t>2013 wlis 5 Tve</t>
  </si>
  <si>
    <t>sayoveltao - korporatiuli</t>
  </si>
  <si>
    <t>ჰემოგლობინომეტრია (100%)</t>
  </si>
  <si>
    <t>კოეფიციენტი</t>
  </si>
  <si>
    <t>მიზნობრივი</t>
  </si>
  <si>
    <t>ზოგადპოპულაცია</t>
  </si>
  <si>
    <t>0.86 Lari</t>
  </si>
  <si>
    <t>ოჯახის ექიმის პაკეტი</t>
  </si>
  <si>
    <t>დამატებითი სოციალური კოეფიციენტი</t>
  </si>
  <si>
    <t>შარდის ანალიზი უროტესტით (100%)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</si>
</sst>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K_č_-;\-* #,##0.00\ _K_č_-;_-* &quot;-&quot;??\ _K_č_-;_-@_-"/>
    <numFmt numFmtId="165" formatCode="#,##0.00\ [$Lari-437]"/>
    <numFmt numFmtId="166" formatCode="0.0"/>
  </numFmts>
  <fonts count="16" x14ac:knownFonts="1">
    <font>
      <sz val="10"/>
      <name val="Arial"/>
      <charset val="238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sz val="11"/>
      <name val="Sylfaen"/>
      <family val="1"/>
    </font>
    <font>
      <b/>
      <sz val="11"/>
      <name val="Sylfaen"/>
      <family val="1"/>
    </font>
    <font>
      <sz val="10"/>
      <name val="Wingdings"/>
      <charset val="2"/>
    </font>
    <font>
      <sz val="7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692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36C0A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3" borderId="0" xfId="0" applyFill="1"/>
    <xf numFmtId="0" fontId="0" fillId="4" borderId="0" xfId="0" applyFill="1"/>
    <xf numFmtId="0" fontId="0" fillId="2" borderId="0" xfId="0" applyFill="1"/>
    <xf numFmtId="0" fontId="0" fillId="5" borderId="0" xfId="0" applyFill="1"/>
    <xf numFmtId="0" fontId="0" fillId="6" borderId="0" xfId="0" applyFill="1"/>
    <xf numFmtId="0" fontId="10" fillId="0" borderId="0" xfId="0" applyFont="1"/>
    <xf numFmtId="0" fontId="5" fillId="8" borderId="0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0" fillId="9" borderId="0" xfId="0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 wrapText="1"/>
    </xf>
    <xf numFmtId="165" fontId="10" fillId="9" borderId="1" xfId="0" applyNumberFormat="1" applyFont="1" applyFill="1" applyBorder="1" applyAlignment="1">
      <alignment horizontal="center" vertical="center"/>
    </xf>
    <xf numFmtId="9" fontId="10" fillId="9" borderId="1" xfId="2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5" fontId="10" fillId="11" borderId="1" xfId="0" applyNumberFormat="1" applyFont="1" applyFill="1" applyBorder="1" applyAlignment="1">
      <alignment horizontal="center" vertical="center"/>
    </xf>
    <xf numFmtId="9" fontId="10" fillId="12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165" fontId="10" fillId="13" borderId="1" xfId="0" applyNumberFormat="1" applyFont="1" applyFill="1" applyBorder="1" applyAlignment="1">
      <alignment horizontal="center" vertical="center"/>
    </xf>
    <xf numFmtId="9" fontId="10" fillId="13" borderId="1" xfId="2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/>
    </xf>
    <xf numFmtId="165" fontId="11" fillId="13" borderId="1" xfId="0" applyNumberFormat="1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65" fontId="0" fillId="6" borderId="1" xfId="0" applyNumberFormat="1" applyFill="1" applyBorder="1" applyAlignment="1">
      <alignment horizontal="center" vertical="center"/>
    </xf>
    <xf numFmtId="165" fontId="10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10" fillId="4" borderId="0" xfId="0" applyNumberFormat="1" applyFont="1" applyFill="1" applyAlignment="1">
      <alignment horizontal="center" vertical="center"/>
    </xf>
    <xf numFmtId="165" fontId="10" fillId="2" borderId="0" xfId="0" applyNumberFormat="1" applyFont="1" applyFill="1" applyAlignment="1">
      <alignment horizontal="center" vertical="center"/>
    </xf>
    <xf numFmtId="165" fontId="10" fillId="5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5" fontId="0" fillId="0" borderId="0" xfId="0" applyNumberFormat="1" applyAlignment="1">
      <alignment horizontal="center"/>
    </xf>
    <xf numFmtId="164" fontId="0" fillId="0" borderId="0" xfId="1" applyFont="1"/>
    <xf numFmtId="0" fontId="4" fillId="0" borderId="1" xfId="0" applyFont="1" applyBorder="1" applyAlignment="1">
      <alignment horizontal="left" vertical="center" wrapText="1"/>
    </xf>
    <xf numFmtId="0" fontId="7" fillId="13" borderId="1" xfId="0" applyFont="1" applyFill="1" applyBorder="1" applyAlignment="1">
      <alignment horizontal="left" vertical="center" wrapText="1"/>
    </xf>
    <xf numFmtId="165" fontId="0" fillId="0" borderId="0" xfId="0" applyNumberFormat="1"/>
    <xf numFmtId="165" fontId="10" fillId="7" borderId="0" xfId="0" applyNumberFormat="1" applyFont="1" applyFill="1" applyAlignment="1">
      <alignment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5" fontId="10" fillId="4" borderId="0" xfId="0" applyNumberFormat="1" applyFont="1" applyFill="1" applyAlignment="1">
      <alignment vertical="center"/>
    </xf>
    <xf numFmtId="165" fontId="10" fillId="2" borderId="0" xfId="0" applyNumberFormat="1" applyFont="1" applyFill="1" applyAlignment="1">
      <alignment vertical="center"/>
    </xf>
    <xf numFmtId="165" fontId="10" fillId="0" borderId="0" xfId="0" applyNumberFormat="1" applyFont="1" applyAlignment="1">
      <alignment vertical="center"/>
    </xf>
    <xf numFmtId="165" fontId="10" fillId="5" borderId="0" xfId="0" applyNumberFormat="1" applyFont="1" applyFill="1" applyAlignment="1">
      <alignment vertical="center"/>
    </xf>
    <xf numFmtId="0" fontId="1" fillId="0" borderId="0" xfId="0" applyFont="1"/>
    <xf numFmtId="166" fontId="0" fillId="0" borderId="0" xfId="0" applyNumberFormat="1" applyAlignment="1">
      <alignment horizontal="center"/>
    </xf>
    <xf numFmtId="2" fontId="0" fillId="0" borderId="0" xfId="0" applyNumberFormat="1"/>
    <xf numFmtId="0" fontId="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5" fontId="14" fillId="9" borderId="0" xfId="0" applyNumberFormat="1" applyFont="1" applyFill="1" applyBorder="1" applyAlignment="1">
      <alignment horizontal="right" vertical="center"/>
    </xf>
    <xf numFmtId="1" fontId="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2" fontId="3" fillId="0" borderId="0" xfId="0" applyNumberFormat="1" applyFont="1"/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166" fontId="0" fillId="0" borderId="0" xfId="0" applyNumberFormat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1"/>
  <sheetViews>
    <sheetView tabSelected="1" zoomScale="80" zoomScaleNormal="80" workbookViewId="0">
      <selection activeCell="C39" sqref="C39"/>
    </sheetView>
  </sheetViews>
  <sheetFormatPr defaultRowHeight="12.75" x14ac:dyDescent="0.2"/>
  <cols>
    <col min="1" max="1" width="24.28515625" customWidth="1"/>
    <col min="2" max="2" width="52.7109375" customWidth="1"/>
    <col min="3" max="3" width="22.7109375" style="2" customWidth="1"/>
    <col min="4" max="4" width="19.5703125" style="2" customWidth="1"/>
    <col min="5" max="5" width="17.5703125" style="2" customWidth="1"/>
    <col min="6" max="6" width="13.85546875" customWidth="1"/>
    <col min="7" max="7" width="16.5703125" customWidth="1"/>
    <col min="8" max="8" width="16.140625" customWidth="1"/>
    <col min="9" max="10" width="11" hidden="1" customWidth="1"/>
    <col min="11" max="11" width="13.85546875" customWidth="1"/>
    <col min="12" max="12" width="13.28515625" customWidth="1"/>
    <col min="13" max="14" width="0" hidden="1" customWidth="1"/>
    <col min="15" max="15" width="20.140625" hidden="1" customWidth="1"/>
    <col min="16" max="16" width="0" hidden="1" customWidth="1"/>
    <col min="17" max="17" width="14.5703125" hidden="1" customWidth="1"/>
    <col min="18" max="18" width="0" hidden="1" customWidth="1"/>
  </cols>
  <sheetData>
    <row r="2" spans="1:17" ht="82.5" customHeight="1" x14ac:dyDescent="0.2">
      <c r="A2" s="9" t="s">
        <v>21</v>
      </c>
      <c r="B2" s="10" t="s">
        <v>22</v>
      </c>
      <c r="C2" s="11" t="s">
        <v>32</v>
      </c>
      <c r="D2" s="11" t="s">
        <v>38</v>
      </c>
      <c r="E2" s="11" t="s">
        <v>39</v>
      </c>
      <c r="F2" s="11" t="s">
        <v>25</v>
      </c>
      <c r="G2" s="11" t="s">
        <v>26</v>
      </c>
      <c r="H2" s="11" t="s">
        <v>0</v>
      </c>
      <c r="J2" s="44" t="s">
        <v>41</v>
      </c>
      <c r="K2" s="70" t="s">
        <v>42</v>
      </c>
      <c r="L2" s="70"/>
      <c r="M2" s="45"/>
      <c r="N2" s="45"/>
      <c r="O2" s="46" t="s">
        <v>27</v>
      </c>
      <c r="P2" s="45">
        <v>2600</v>
      </c>
      <c r="Q2" s="47" t="s">
        <v>29</v>
      </c>
    </row>
    <row r="3" spans="1:17" ht="15" x14ac:dyDescent="0.2">
      <c r="A3" s="12" t="s">
        <v>5</v>
      </c>
      <c r="B3" s="13" t="s">
        <v>6</v>
      </c>
      <c r="C3" s="14"/>
      <c r="D3" s="14"/>
      <c r="E3" s="14"/>
      <c r="F3" s="14"/>
      <c r="G3" s="14"/>
      <c r="H3" s="14"/>
      <c r="I3" s="3"/>
      <c r="J3" s="40"/>
      <c r="K3" s="40"/>
      <c r="L3" s="45"/>
      <c r="M3" s="45"/>
      <c r="N3" s="45"/>
      <c r="O3" s="47" t="s">
        <v>25</v>
      </c>
      <c r="P3" s="47">
        <v>1000</v>
      </c>
      <c r="Q3" s="47" t="s">
        <v>28</v>
      </c>
    </row>
    <row r="4" spans="1:17" ht="15" x14ac:dyDescent="0.2">
      <c r="A4" s="12" t="s">
        <v>5</v>
      </c>
      <c r="B4" s="13" t="s">
        <v>7</v>
      </c>
      <c r="C4" s="14"/>
      <c r="D4" s="14"/>
      <c r="E4" s="14"/>
      <c r="F4" s="14"/>
      <c r="G4" s="14"/>
      <c r="H4" s="14"/>
      <c r="I4" s="3"/>
      <c r="J4" s="40"/>
      <c r="K4" s="40"/>
      <c r="L4" s="45"/>
      <c r="M4" s="45"/>
      <c r="N4" s="45"/>
      <c r="O4" s="47" t="s">
        <v>30</v>
      </c>
      <c r="P4" s="45">
        <v>12</v>
      </c>
      <c r="Q4" s="45"/>
    </row>
    <row r="5" spans="1:17" ht="15" x14ac:dyDescent="0.2">
      <c r="A5" s="12" t="s">
        <v>5</v>
      </c>
      <c r="B5" s="13" t="s">
        <v>8</v>
      </c>
      <c r="C5" s="14"/>
      <c r="D5" s="14"/>
      <c r="E5" s="14"/>
      <c r="F5" s="14"/>
      <c r="G5" s="14"/>
      <c r="H5" s="14"/>
      <c r="I5" s="3"/>
      <c r="J5" s="1"/>
      <c r="K5" s="1"/>
    </row>
    <row r="6" spans="1:17" ht="15" x14ac:dyDescent="0.2">
      <c r="A6" s="12" t="s">
        <v>5</v>
      </c>
      <c r="B6" s="13" t="s">
        <v>61</v>
      </c>
      <c r="C6" s="14"/>
      <c r="D6" s="14"/>
      <c r="E6" s="14"/>
      <c r="F6" s="14"/>
      <c r="G6" s="14"/>
      <c r="H6" s="14"/>
      <c r="I6" s="3"/>
      <c r="J6" s="1"/>
      <c r="K6" s="1"/>
    </row>
    <row r="7" spans="1:17" ht="15" x14ac:dyDescent="0.2">
      <c r="A7" s="12" t="s">
        <v>5</v>
      </c>
      <c r="B7" s="13" t="s">
        <v>9</v>
      </c>
      <c r="C7" s="14"/>
      <c r="D7" s="14"/>
      <c r="E7" s="14"/>
      <c r="F7" s="14"/>
      <c r="G7" s="14"/>
      <c r="H7" s="14"/>
      <c r="I7" s="3"/>
      <c r="J7" s="1"/>
      <c r="K7" s="1"/>
    </row>
    <row r="8" spans="1:17" ht="15" x14ac:dyDescent="0.2">
      <c r="A8" s="12" t="s">
        <v>5</v>
      </c>
      <c r="B8" s="13" t="s">
        <v>10</v>
      </c>
      <c r="C8" s="14"/>
      <c r="D8" s="14"/>
      <c r="E8" s="14"/>
      <c r="F8" s="14"/>
      <c r="G8" s="14"/>
      <c r="H8" s="14"/>
      <c r="I8" s="3"/>
      <c r="J8" s="1"/>
      <c r="K8" s="1"/>
    </row>
    <row r="9" spans="1:17" ht="15" x14ac:dyDescent="0.2">
      <c r="A9" s="12" t="s">
        <v>5</v>
      </c>
      <c r="B9" s="13" t="s">
        <v>54</v>
      </c>
      <c r="C9" s="14"/>
      <c r="D9" s="14"/>
      <c r="E9" s="14"/>
      <c r="F9" s="14"/>
      <c r="G9" s="14"/>
      <c r="H9" s="14"/>
      <c r="I9" s="3"/>
      <c r="J9" s="1"/>
      <c r="K9" s="1"/>
    </row>
    <row r="10" spans="1:17" ht="15" x14ac:dyDescent="0.2">
      <c r="A10" s="12" t="s">
        <v>5</v>
      </c>
      <c r="B10" s="15" t="s">
        <v>3</v>
      </c>
      <c r="C10" s="14"/>
      <c r="D10" s="14"/>
      <c r="E10" s="14"/>
      <c r="F10" s="14"/>
      <c r="G10" s="14"/>
      <c r="H10" s="14"/>
      <c r="I10" s="3"/>
      <c r="J10" s="1"/>
      <c r="K10" s="1"/>
    </row>
    <row r="11" spans="1:17" ht="15" x14ac:dyDescent="0.2">
      <c r="A11" s="12" t="s">
        <v>23</v>
      </c>
      <c r="B11" s="13" t="s">
        <v>24</v>
      </c>
      <c r="C11" s="16">
        <f>1.33+0.25</f>
        <v>1.58</v>
      </c>
      <c r="D11" s="16">
        <f>C11*E11</f>
        <v>1.58</v>
      </c>
      <c r="E11" s="17">
        <v>1</v>
      </c>
      <c r="F11" s="18"/>
      <c r="G11" s="18"/>
      <c r="H11" s="18"/>
      <c r="I11" s="3"/>
      <c r="J11" s="1"/>
      <c r="K11" s="72">
        <f>D11</f>
        <v>1.58</v>
      </c>
    </row>
    <row r="12" spans="1:17" ht="15" x14ac:dyDescent="0.2">
      <c r="A12" s="19" t="s">
        <v>5</v>
      </c>
      <c r="B12" s="71" t="s">
        <v>11</v>
      </c>
      <c r="C12" s="20">
        <f>H12/$P$3/$P$4</f>
        <v>4.1666666666666664E-2</v>
      </c>
      <c r="D12" s="21">
        <f t="shared" ref="D12:D30" si="0">C12*E12</f>
        <v>4.1666666666666664E-2</v>
      </c>
      <c r="E12" s="22">
        <v>1</v>
      </c>
      <c r="F12" s="23">
        <v>50</v>
      </c>
      <c r="G12" s="20">
        <v>10</v>
      </c>
      <c r="H12" s="20">
        <f>F12*G12</f>
        <v>500</v>
      </c>
      <c r="I12" s="3"/>
      <c r="J12" s="1"/>
      <c r="K12" s="1"/>
    </row>
    <row r="13" spans="1:17" ht="15" x14ac:dyDescent="0.2">
      <c r="A13" s="24" t="s">
        <v>31</v>
      </c>
      <c r="B13" s="52"/>
      <c r="C13" s="25">
        <f>C11+C12</f>
        <v>1.6216666666666668</v>
      </c>
      <c r="D13" s="25">
        <f>SUM(D11:D12)</f>
        <v>1.6216666666666668</v>
      </c>
      <c r="E13" s="26">
        <v>1</v>
      </c>
      <c r="F13" s="27"/>
      <c r="G13" s="25"/>
      <c r="H13" s="25"/>
      <c r="I13" s="4"/>
      <c r="J13" s="39">
        <f>C11+C12</f>
        <v>1.6216666666666668</v>
      </c>
      <c r="K13" s="54">
        <f>D13</f>
        <v>1.6216666666666668</v>
      </c>
    </row>
    <row r="14" spans="1:17" ht="15" x14ac:dyDescent="0.25">
      <c r="A14" s="28" t="s">
        <v>12</v>
      </c>
      <c r="B14" s="51" t="s">
        <v>1</v>
      </c>
      <c r="C14" s="20">
        <f t="shared" ref="C14:C17" si="1">H14/$P$3/$P$4</f>
        <v>1.6666666666666666E-2</v>
      </c>
      <c r="D14" s="21">
        <f>C14*E14</f>
        <v>1.6666666666666666E-2</v>
      </c>
      <c r="E14" s="22">
        <v>1</v>
      </c>
      <c r="F14" s="23">
        <v>20</v>
      </c>
      <c r="G14" s="20">
        <v>10</v>
      </c>
      <c r="H14" s="20">
        <f t="shared" ref="H14:H30" si="2">F14*G14</f>
        <v>200</v>
      </c>
      <c r="I14" s="4"/>
      <c r="J14" s="40"/>
      <c r="K14" s="55"/>
      <c r="L14" s="8"/>
    </row>
    <row r="15" spans="1:17" ht="15" x14ac:dyDescent="0.25">
      <c r="A15" s="28" t="s">
        <v>12</v>
      </c>
      <c r="B15" s="51" t="s">
        <v>2</v>
      </c>
      <c r="C15" s="20">
        <f t="shared" si="1"/>
        <v>0.16666666666666666</v>
      </c>
      <c r="D15" s="21">
        <f t="shared" si="0"/>
        <v>0.16666666666666666</v>
      </c>
      <c r="E15" s="22">
        <v>1</v>
      </c>
      <c r="F15" s="23">
        <v>100</v>
      </c>
      <c r="G15" s="20">
        <v>20</v>
      </c>
      <c r="H15" s="20">
        <f t="shared" si="2"/>
        <v>2000</v>
      </c>
      <c r="I15" s="4"/>
      <c r="J15" s="40"/>
      <c r="K15" s="56"/>
      <c r="L15" s="8"/>
    </row>
    <row r="16" spans="1:17" ht="15" x14ac:dyDescent="0.25">
      <c r="A16" s="28" t="s">
        <v>12</v>
      </c>
      <c r="B16" s="51" t="s">
        <v>4</v>
      </c>
      <c r="C16" s="20">
        <f t="shared" si="1"/>
        <v>7.4999999999999997E-2</v>
      </c>
      <c r="D16" s="21">
        <f t="shared" si="0"/>
        <v>7.4999999999999997E-2</v>
      </c>
      <c r="E16" s="22">
        <v>1</v>
      </c>
      <c r="F16" s="23">
        <v>100</v>
      </c>
      <c r="G16" s="20">
        <v>9</v>
      </c>
      <c r="H16" s="20">
        <f t="shared" si="2"/>
        <v>900</v>
      </c>
      <c r="I16" s="4"/>
      <c r="J16" s="40"/>
      <c r="K16" s="56"/>
      <c r="L16" s="8"/>
    </row>
    <row r="17" spans="1:12" ht="15" x14ac:dyDescent="0.25">
      <c r="A17" s="28" t="s">
        <v>12</v>
      </c>
      <c r="B17" s="51" t="s">
        <v>40</v>
      </c>
      <c r="C17" s="20">
        <f t="shared" si="1"/>
        <v>0</v>
      </c>
      <c r="D17" s="21">
        <f t="shared" si="0"/>
        <v>0</v>
      </c>
      <c r="E17" s="22">
        <v>1</v>
      </c>
      <c r="F17" s="23">
        <v>0</v>
      </c>
      <c r="G17" s="20">
        <v>10</v>
      </c>
      <c r="H17" s="20">
        <f>F17*G17</f>
        <v>0</v>
      </c>
      <c r="I17" s="4"/>
      <c r="J17" s="40"/>
      <c r="K17" s="56"/>
      <c r="L17" s="8"/>
    </row>
    <row r="18" spans="1:12" ht="36.75" customHeight="1" x14ac:dyDescent="0.2">
      <c r="A18" s="24" t="s">
        <v>33</v>
      </c>
      <c r="B18" s="29"/>
      <c r="C18" s="25">
        <f>SUM(C14:C17)</f>
        <v>0.2583333333333333</v>
      </c>
      <c r="D18" s="25">
        <f>SUM(D14:D17)</f>
        <v>0.2583333333333333</v>
      </c>
      <c r="E18" s="26"/>
      <c r="F18" s="30"/>
      <c r="G18" s="31"/>
      <c r="H18" s="31"/>
      <c r="I18" s="4"/>
      <c r="J18" s="41">
        <f>C13+C18</f>
        <v>1.8800000000000001</v>
      </c>
      <c r="K18" s="57">
        <f>D13+D18</f>
        <v>1.8800000000000001</v>
      </c>
    </row>
    <row r="19" spans="1:12" ht="15" x14ac:dyDescent="0.25">
      <c r="A19" s="32" t="s">
        <v>15</v>
      </c>
      <c r="B19" s="51" t="s">
        <v>43</v>
      </c>
      <c r="C19" s="20">
        <f>H19/$P$3/$P$4</f>
        <v>0</v>
      </c>
      <c r="D19" s="21">
        <f t="shared" si="0"/>
        <v>0</v>
      </c>
      <c r="E19" s="22">
        <v>1</v>
      </c>
      <c r="F19" s="23">
        <v>0</v>
      </c>
      <c r="G19" s="20">
        <v>18</v>
      </c>
      <c r="H19" s="20">
        <f t="shared" si="2"/>
        <v>0</v>
      </c>
      <c r="I19" s="5"/>
      <c r="J19" s="40"/>
      <c r="K19" s="56"/>
      <c r="L19" s="8"/>
    </row>
    <row r="20" spans="1:12" ht="30" x14ac:dyDescent="0.25">
      <c r="A20" s="32" t="s">
        <v>35</v>
      </c>
      <c r="B20" s="51" t="s">
        <v>34</v>
      </c>
      <c r="C20" s="20">
        <f>H20/$P$3/$P$4</f>
        <v>0</v>
      </c>
      <c r="D20" s="21">
        <f t="shared" si="0"/>
        <v>0</v>
      </c>
      <c r="E20" s="22">
        <v>1</v>
      </c>
      <c r="F20" s="23">
        <v>0</v>
      </c>
      <c r="G20" s="20">
        <v>17</v>
      </c>
      <c r="H20" s="20">
        <f t="shared" si="2"/>
        <v>0</v>
      </c>
      <c r="I20" s="5"/>
      <c r="J20" s="40"/>
      <c r="K20" s="56"/>
      <c r="L20" s="8"/>
    </row>
    <row r="21" spans="1:12" ht="15" x14ac:dyDescent="0.25">
      <c r="A21" s="32" t="s">
        <v>15</v>
      </c>
      <c r="B21" s="51" t="s">
        <v>44</v>
      </c>
      <c r="C21" s="20">
        <f>H21/$P$3/$P$4</f>
        <v>0.1875</v>
      </c>
      <c r="D21" s="21">
        <f t="shared" si="0"/>
        <v>0.1875</v>
      </c>
      <c r="E21" s="22">
        <v>1</v>
      </c>
      <c r="F21" s="23">
        <v>150</v>
      </c>
      <c r="G21" s="20">
        <v>15</v>
      </c>
      <c r="H21" s="20">
        <f t="shared" si="2"/>
        <v>2250</v>
      </c>
      <c r="I21" s="5"/>
      <c r="J21" s="40"/>
      <c r="K21" s="56"/>
      <c r="L21" s="8"/>
    </row>
    <row r="22" spans="1:12" ht="30" x14ac:dyDescent="0.25">
      <c r="A22" s="32" t="s">
        <v>15</v>
      </c>
      <c r="B22" s="51" t="s">
        <v>48</v>
      </c>
      <c r="C22" s="20">
        <f>H22/$P$3/$P$4</f>
        <v>0.1875</v>
      </c>
      <c r="D22" s="21">
        <f t="shared" si="0"/>
        <v>0.1875</v>
      </c>
      <c r="E22" s="22">
        <v>1</v>
      </c>
      <c r="F22" s="23">
        <v>150</v>
      </c>
      <c r="G22" s="20">
        <v>15</v>
      </c>
      <c r="H22" s="20">
        <f t="shared" si="2"/>
        <v>2250</v>
      </c>
      <c r="I22" s="5"/>
      <c r="J22" s="40"/>
      <c r="K22" s="56"/>
      <c r="L22" s="8"/>
    </row>
    <row r="23" spans="1:12" ht="34.5" customHeight="1" x14ac:dyDescent="0.2">
      <c r="A23" s="24" t="s">
        <v>36</v>
      </c>
      <c r="B23" s="29"/>
      <c r="C23" s="25">
        <f>SUM(C19:C22)</f>
        <v>0.375</v>
      </c>
      <c r="D23" s="25">
        <f>SUM(D19:D22)</f>
        <v>0.375</v>
      </c>
      <c r="E23" s="26"/>
      <c r="F23" s="30"/>
      <c r="G23" s="31"/>
      <c r="H23" s="31"/>
      <c r="I23" s="5"/>
      <c r="J23" s="42">
        <f>J18+C23</f>
        <v>2.2549999999999999</v>
      </c>
      <c r="K23" s="58">
        <f>K18+D23</f>
        <v>2.2549999999999999</v>
      </c>
    </row>
    <row r="24" spans="1:12" ht="15" x14ac:dyDescent="0.2">
      <c r="A24" s="33" t="s">
        <v>12</v>
      </c>
      <c r="B24" s="51" t="s">
        <v>13</v>
      </c>
      <c r="C24" s="20">
        <f t="shared" ref="C24:C30" si="3">H24/$P$3/$P$4</f>
        <v>6.25E-2</v>
      </c>
      <c r="D24" s="21">
        <f>C24*E24</f>
        <v>6.25E-2</v>
      </c>
      <c r="E24" s="22">
        <v>1</v>
      </c>
      <c r="F24" s="23">
        <v>50</v>
      </c>
      <c r="G24" s="20">
        <v>15</v>
      </c>
      <c r="H24" s="20">
        <f>F24*G24</f>
        <v>750</v>
      </c>
      <c r="I24" s="4"/>
      <c r="J24" s="40"/>
      <c r="K24" s="56"/>
    </row>
    <row r="25" spans="1:12" ht="38.25" customHeight="1" x14ac:dyDescent="0.2">
      <c r="A25" s="33" t="s">
        <v>12</v>
      </c>
      <c r="B25" s="51" t="s">
        <v>14</v>
      </c>
      <c r="C25" s="20">
        <f t="shared" si="3"/>
        <v>0.125</v>
      </c>
      <c r="D25" s="21">
        <f>C25*E25</f>
        <v>0.125</v>
      </c>
      <c r="E25" s="22">
        <v>1</v>
      </c>
      <c r="F25" s="23">
        <v>100</v>
      </c>
      <c r="G25" s="20">
        <v>15</v>
      </c>
      <c r="H25" s="20">
        <f>F25*G25</f>
        <v>1500</v>
      </c>
      <c r="I25" s="4"/>
      <c r="J25" s="40"/>
      <c r="K25" s="59"/>
    </row>
    <row r="26" spans="1:12" ht="15" x14ac:dyDescent="0.2">
      <c r="A26" s="33" t="s">
        <v>16</v>
      </c>
      <c r="B26" s="48" t="s">
        <v>17</v>
      </c>
      <c r="C26" s="20">
        <f t="shared" si="3"/>
        <v>6.25E-2</v>
      </c>
      <c r="D26" s="21">
        <f t="shared" si="0"/>
        <v>6.25E-2</v>
      </c>
      <c r="E26" s="22">
        <v>1</v>
      </c>
      <c r="F26" s="23">
        <v>50</v>
      </c>
      <c r="G26" s="20">
        <v>15</v>
      </c>
      <c r="H26" s="20">
        <f t="shared" si="2"/>
        <v>750</v>
      </c>
      <c r="I26" s="6"/>
      <c r="J26" s="40"/>
      <c r="K26" s="56"/>
    </row>
    <row r="27" spans="1:12" ht="15" x14ac:dyDescent="0.2">
      <c r="A27" s="33" t="s">
        <v>16</v>
      </c>
      <c r="B27" s="48" t="s">
        <v>18</v>
      </c>
      <c r="C27" s="20">
        <f t="shared" si="3"/>
        <v>5.6250000000000001E-2</v>
      </c>
      <c r="D27" s="21">
        <f t="shared" si="0"/>
        <v>5.6250000000000001E-2</v>
      </c>
      <c r="E27" s="22">
        <v>1</v>
      </c>
      <c r="F27" s="23">
        <v>45</v>
      </c>
      <c r="G27" s="20">
        <v>15</v>
      </c>
      <c r="H27" s="20">
        <f t="shared" si="2"/>
        <v>675</v>
      </c>
      <c r="I27" s="6"/>
      <c r="J27" s="40"/>
      <c r="K27" s="56"/>
    </row>
    <row r="28" spans="1:12" ht="15" x14ac:dyDescent="0.2">
      <c r="A28" s="33" t="s">
        <v>16</v>
      </c>
      <c r="B28" s="48" t="s">
        <v>45</v>
      </c>
      <c r="C28" s="20">
        <f t="shared" si="3"/>
        <v>3.7499999999999999E-2</v>
      </c>
      <c r="D28" s="21">
        <f t="shared" si="0"/>
        <v>3.7499999999999999E-2</v>
      </c>
      <c r="E28" s="22">
        <v>1</v>
      </c>
      <c r="F28" s="23">
        <v>30</v>
      </c>
      <c r="G28" s="20">
        <v>15</v>
      </c>
      <c r="H28" s="20">
        <f t="shared" si="2"/>
        <v>450</v>
      </c>
      <c r="I28" s="6"/>
      <c r="J28" s="40"/>
      <c r="K28" s="56"/>
    </row>
    <row r="29" spans="1:12" ht="15" x14ac:dyDescent="0.2">
      <c r="A29" s="33" t="s">
        <v>16</v>
      </c>
      <c r="B29" s="48" t="s">
        <v>19</v>
      </c>
      <c r="C29" s="20">
        <f t="shared" si="3"/>
        <v>3.7499999999999999E-2</v>
      </c>
      <c r="D29" s="21">
        <f t="shared" si="0"/>
        <v>3.7499999999999999E-2</v>
      </c>
      <c r="E29" s="22">
        <v>1</v>
      </c>
      <c r="F29" s="23">
        <v>30</v>
      </c>
      <c r="G29" s="20">
        <v>15</v>
      </c>
      <c r="H29" s="20">
        <f t="shared" si="2"/>
        <v>450</v>
      </c>
      <c r="I29" s="6"/>
      <c r="J29" s="40"/>
      <c r="K29" s="56"/>
    </row>
    <row r="30" spans="1:12" ht="15" x14ac:dyDescent="0.2">
      <c r="A30" s="33" t="s">
        <v>16</v>
      </c>
      <c r="B30" s="48" t="s">
        <v>20</v>
      </c>
      <c r="C30" s="20">
        <f t="shared" si="3"/>
        <v>3.7499999999999999E-2</v>
      </c>
      <c r="D30" s="21">
        <f t="shared" si="0"/>
        <v>3.7499999999999999E-2</v>
      </c>
      <c r="E30" s="22">
        <v>1</v>
      </c>
      <c r="F30" s="23">
        <v>30</v>
      </c>
      <c r="G30" s="20">
        <v>15</v>
      </c>
      <c r="H30" s="20">
        <f t="shared" si="2"/>
        <v>450</v>
      </c>
      <c r="I30" s="6"/>
      <c r="J30" s="40"/>
      <c r="K30" s="56"/>
    </row>
    <row r="31" spans="1:12" ht="30" x14ac:dyDescent="0.2">
      <c r="A31" s="34" t="s">
        <v>37</v>
      </c>
      <c r="B31" s="35"/>
      <c r="C31" s="36">
        <f>SUM(C24:C30)</f>
        <v>0.41874999999999996</v>
      </c>
      <c r="D31" s="36">
        <f>SUM(D24:D30)</f>
        <v>0.41874999999999996</v>
      </c>
      <c r="E31" s="22"/>
      <c r="F31" s="37">
        <f>SUM(F24:F30)</f>
        <v>335</v>
      </c>
      <c r="G31" s="38"/>
      <c r="H31" s="38">
        <f>SUM(H24:H30)</f>
        <v>5025</v>
      </c>
      <c r="I31" s="7"/>
      <c r="J31" s="43">
        <f>J23+C31</f>
        <v>2.6737500000000001</v>
      </c>
      <c r="K31" s="60">
        <f>K23+D31</f>
        <v>2.6737500000000001</v>
      </c>
      <c r="L31" s="50"/>
    </row>
    <row r="32" spans="1:12" x14ac:dyDescent="0.2">
      <c r="H32" s="53"/>
    </row>
    <row r="33" spans="1:17" x14ac:dyDescent="0.2">
      <c r="A33" s="1" t="s">
        <v>46</v>
      </c>
      <c r="B33" s="61" t="s">
        <v>47</v>
      </c>
    </row>
    <row r="34" spans="1:17" s="2" customFormat="1" x14ac:dyDescent="0.2">
      <c r="A34"/>
      <c r="B34"/>
      <c r="D34" s="49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2">
      <c r="C35"/>
      <c r="D35"/>
      <c r="E35" s="62"/>
    </row>
    <row r="36" spans="1:17" x14ac:dyDescent="0.2">
      <c r="C36"/>
      <c r="D36"/>
      <c r="E36" s="80" t="s">
        <v>55</v>
      </c>
      <c r="F36" s="80"/>
      <c r="G36" s="80"/>
    </row>
    <row r="37" spans="1:17" x14ac:dyDescent="0.2">
      <c r="C37">
        <v>2012</v>
      </c>
      <c r="D37" s="61" t="s">
        <v>53</v>
      </c>
      <c r="E37">
        <v>3</v>
      </c>
      <c r="F37">
        <v>1</v>
      </c>
      <c r="G37">
        <v>3.2</v>
      </c>
      <c r="I37">
        <v>0.86</v>
      </c>
    </row>
    <row r="38" spans="1:17" x14ac:dyDescent="0.2">
      <c r="C38"/>
      <c r="D38"/>
      <c r="E38" s="80" t="s">
        <v>60</v>
      </c>
      <c r="F38" s="80"/>
      <c r="G38" s="80"/>
    </row>
    <row r="39" spans="1:17" x14ac:dyDescent="0.2">
      <c r="C39" s="69" t="s">
        <v>52</v>
      </c>
      <c r="D39">
        <v>218</v>
      </c>
      <c r="E39" s="63">
        <v>4.05</v>
      </c>
      <c r="F39">
        <v>2.5</v>
      </c>
      <c r="G39" s="81">
        <v>3</v>
      </c>
    </row>
    <row r="40" spans="1:17" x14ac:dyDescent="0.2">
      <c r="C40"/>
      <c r="D40"/>
    </row>
    <row r="41" spans="1:17" x14ac:dyDescent="0.2">
      <c r="B41" s="82" t="s">
        <v>59</v>
      </c>
      <c r="C41" s="79" t="s">
        <v>58</v>
      </c>
      <c r="D41"/>
    </row>
    <row r="42" spans="1:17" x14ac:dyDescent="0.2">
      <c r="C42" s="74" t="s">
        <v>57</v>
      </c>
      <c r="D42" s="74" t="s">
        <v>55</v>
      </c>
      <c r="E42" s="74" t="s">
        <v>56</v>
      </c>
      <c r="F42" s="74" t="s">
        <v>55</v>
      </c>
    </row>
    <row r="43" spans="1:17" x14ac:dyDescent="0.2">
      <c r="A43" s="61" t="s">
        <v>51</v>
      </c>
      <c r="B43" s="65">
        <f>2000*6.8%</f>
        <v>136</v>
      </c>
      <c r="C43" s="73">
        <f>B43*3*0.86</f>
        <v>350.88</v>
      </c>
      <c r="D43" s="83">
        <v>3</v>
      </c>
      <c r="E43" s="76">
        <f>B43*0.86*4.05</f>
        <v>473.68799999999993</v>
      </c>
      <c r="F43" s="78">
        <v>4.05</v>
      </c>
    </row>
    <row r="44" spans="1:17" x14ac:dyDescent="0.2">
      <c r="A44" s="61" t="s">
        <v>49</v>
      </c>
      <c r="B44" s="65">
        <f>2000-B43-B45</f>
        <v>1492</v>
      </c>
      <c r="C44" s="73">
        <f>0.86*B44</f>
        <v>1283.1199999999999</v>
      </c>
      <c r="D44" s="64">
        <v>1</v>
      </c>
      <c r="E44" s="77">
        <f>C44*2.5</f>
        <v>3207.7999999999997</v>
      </c>
      <c r="F44" s="78">
        <v>2.5</v>
      </c>
    </row>
    <row r="45" spans="1:17" x14ac:dyDescent="0.2">
      <c r="A45" s="61" t="s">
        <v>50</v>
      </c>
      <c r="B45" s="65">
        <f>2000*18.6%</f>
        <v>372.00000000000006</v>
      </c>
      <c r="C45" s="73">
        <f>0.86*3.2*B45</f>
        <v>1023.7440000000003</v>
      </c>
      <c r="D45" s="64">
        <v>3.2</v>
      </c>
      <c r="E45" s="77">
        <f>B45*0.86*3</f>
        <v>959.76</v>
      </c>
      <c r="F45" s="78">
        <v>3</v>
      </c>
    </row>
    <row r="46" spans="1:17" x14ac:dyDescent="0.2">
      <c r="B46" s="66">
        <f>SUM(B43:B45)</f>
        <v>2000</v>
      </c>
      <c r="C46" s="73">
        <f>SUM(C43:C45)</f>
        <v>2657.7440000000001</v>
      </c>
      <c r="D46" s="67">
        <f>C46/2000</f>
        <v>1.3288720000000001</v>
      </c>
      <c r="E46" s="67">
        <f>SUM(E43:E45)</f>
        <v>4641.2479999999996</v>
      </c>
      <c r="F46" s="75">
        <f>E46/2000</f>
        <v>2.3206239999999996</v>
      </c>
    </row>
    <row r="50" spans="2:4" x14ac:dyDescent="0.2">
      <c r="B50" s="61"/>
      <c r="C50" s="68"/>
      <c r="D50" s="68"/>
    </row>
    <row r="51" spans="2:4" x14ac:dyDescent="0.2">
      <c r="C51" s="68"/>
      <c r="D51" s="68"/>
    </row>
  </sheetData>
  <mergeCells count="3">
    <mergeCell ref="K2:L2"/>
    <mergeCell ref="E36:G36"/>
    <mergeCell ref="E38:G38"/>
  </mergeCells>
  <pageMargins left="0.7" right="0.7" top="0.75" bottom="0.75" header="0.3" footer="0.3"/>
  <pageSetup scale="46" orientation="landscape" r:id="rId1"/>
  <colBreaks count="1" manualBreakCount="1">
    <brk id="11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12.07.13_100%</vt:lpstr>
    </vt:vector>
  </TitlesOfParts>
  <Company>Ing.Jiří Němec CSc.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Windows User</cp:lastModifiedBy>
  <cp:lastPrinted>2013-06-14T17:04:14Z</cp:lastPrinted>
  <dcterms:created xsi:type="dcterms:W3CDTF">2004-12-10T17:48:43Z</dcterms:created>
  <dcterms:modified xsi:type="dcterms:W3CDTF">2018-04-14T11:52:47Z</dcterms:modified>
</cp:coreProperties>
</file>